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110" windowHeight="84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9" i="1"/>
  <c r="E11" s="1"/>
  <c r="E28"/>
  <c r="K30"/>
  <c r="K31" s="1"/>
  <c r="E10"/>
  <c r="E6" s="1"/>
  <c r="K20" s="1"/>
  <c r="E4" l="1"/>
  <c r="K16"/>
  <c r="E19" s="1"/>
  <c r="K21"/>
  <c r="K7"/>
  <c r="K15"/>
  <c r="E5"/>
  <c r="E7"/>
  <c r="E9"/>
  <c r="E12"/>
  <c r="E16" l="1"/>
  <c r="E23"/>
  <c r="K24"/>
  <c r="E21"/>
  <c r="E18"/>
  <c r="E25" l="1"/>
  <c r="E22"/>
  <c r="E24"/>
  <c r="E17"/>
</calcChain>
</file>

<file path=xl/comments1.xml><?xml version="1.0" encoding="utf-8"?>
<comments xmlns="http://schemas.openxmlformats.org/spreadsheetml/2006/main">
  <authors>
    <author>Mathias Rufer</author>
  </authors>
  <commentList>
    <comment ref="A27" authorId="0">
      <text>
        <r>
          <rPr>
            <b/>
            <sz val="9"/>
            <color indexed="81"/>
            <rFont val="Tahoma"/>
            <family val="2"/>
          </rPr>
          <t>Mathias Rufer:</t>
        </r>
        <r>
          <rPr>
            <sz val="9"/>
            <color indexed="81"/>
            <rFont val="Tahoma"/>
            <family val="2"/>
          </rPr>
          <t xml:space="preserve">
Von mitte Schiene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Mathias Rufer:</t>
        </r>
        <r>
          <rPr>
            <sz val="9"/>
            <color indexed="81"/>
            <rFont val="Tahoma"/>
            <family val="2"/>
          </rPr>
          <t xml:space="preserve">
Von mitte Schiene</t>
        </r>
      </text>
    </comment>
  </commentList>
</comments>
</file>

<file path=xl/sharedStrings.xml><?xml version="1.0" encoding="utf-8"?>
<sst xmlns="http://schemas.openxmlformats.org/spreadsheetml/2006/main" count="113" uniqueCount="97">
  <si>
    <t>Wendel 6 Eckig mit überlappenden Trapezen</t>
  </si>
  <si>
    <t>Trapez</t>
  </si>
  <si>
    <t>Breite</t>
  </si>
  <si>
    <t>a</t>
  </si>
  <si>
    <t>b</t>
  </si>
  <si>
    <t>c</t>
  </si>
  <si>
    <t>d</t>
  </si>
  <si>
    <t>Radius Sicherheitslinie aussen</t>
  </si>
  <si>
    <t>Formel</t>
  </si>
  <si>
    <t>Winkel</t>
  </si>
  <si>
    <t>y</t>
  </si>
  <si>
    <t>Wert</t>
  </si>
  <si>
    <t>Sicherheitsabstand innen</t>
  </si>
  <si>
    <t>Radius Aussenkreis</t>
  </si>
  <si>
    <t>Radius Innenkreis</t>
  </si>
  <si>
    <t>Sicherheitsabstand aussen</t>
  </si>
  <si>
    <t>R4</t>
  </si>
  <si>
    <t>R5</t>
  </si>
  <si>
    <t>R6</t>
  </si>
  <si>
    <t>Kurze Seite</t>
  </si>
  <si>
    <t>Lange Seite</t>
  </si>
  <si>
    <t>cos(y/2) * b</t>
  </si>
  <si>
    <t>Si</t>
  </si>
  <si>
    <t>Sa</t>
  </si>
  <si>
    <t>Ri</t>
  </si>
  <si>
    <t>Ra</t>
  </si>
  <si>
    <t>Radius Sicherheitslinie innen</t>
  </si>
  <si>
    <t>Ra+Sa</t>
  </si>
  <si>
    <t>Ri-Si</t>
  </si>
  <si>
    <t>Rsi</t>
  </si>
  <si>
    <t>Rsa</t>
  </si>
  <si>
    <t>Rta</t>
  </si>
  <si>
    <t>Radius Trapez innen</t>
  </si>
  <si>
    <t>Rti</t>
  </si>
  <si>
    <t>Radius Trapez Ecke aussen</t>
  </si>
  <si>
    <t>Rsa - d</t>
  </si>
  <si>
    <t>Seite 2x</t>
  </si>
  <si>
    <t>Rta-Rsi</t>
  </si>
  <si>
    <t>bekannt</t>
  </si>
  <si>
    <t>Eingabe</t>
  </si>
  <si>
    <t>Gleisabstand</t>
  </si>
  <si>
    <t>2x Gleisabstand</t>
  </si>
  <si>
    <t>tan(y/2) * Rsa * 2</t>
  </si>
  <si>
    <t>Rsi/2</t>
  </si>
  <si>
    <t>Pa</t>
  </si>
  <si>
    <t>Pi</t>
  </si>
  <si>
    <t>Loch innen vom Rand</t>
  </si>
  <si>
    <t>Li</t>
  </si>
  <si>
    <t>Rpi</t>
  </si>
  <si>
    <t>Rpa</t>
  </si>
  <si>
    <t>La</t>
  </si>
  <si>
    <t>Pfosten aussen - Sicherheitslinie</t>
  </si>
  <si>
    <t>Pfosten innen - Sicherheitslinie</t>
  </si>
  <si>
    <t>Dpi</t>
  </si>
  <si>
    <t>Dpa</t>
  </si>
  <si>
    <t>Radius inneres Loch</t>
  </si>
  <si>
    <t>Radius ausseres Loch</t>
  </si>
  <si>
    <t>Rta - Dpa</t>
  </si>
  <si>
    <t>Rti + Dpa</t>
  </si>
  <si>
    <t>Loch aussen vom Rand</t>
  </si>
  <si>
    <t>Loch aussen von Ecke (kurze Seite)</t>
  </si>
  <si>
    <t>Rpa - Rsa</t>
  </si>
  <si>
    <t>Rsi - Rpi</t>
  </si>
  <si>
    <t>Rsi*cos(y/2)</t>
  </si>
  <si>
    <t>Rsa-Rsi*cos(y/2)</t>
  </si>
  <si>
    <t>tan(y/2)*Rsa*2 - Rsi</t>
  </si>
  <si>
    <t>Herleitung</t>
  </si>
  <si>
    <t>2(Rsi - tan(y/2)*Rsa)</t>
  </si>
  <si>
    <t>e  Lange Seite - 2*b</t>
  </si>
  <si>
    <t>Rsi*Rsi*cos(y/2)/(2*Rsa)</t>
  </si>
  <si>
    <t>(Rsi*Rsi*cos(y/2)+Dpi*Rsi)/(2*Rsa)</t>
  </si>
  <si>
    <t>Distanz Loch innen von Ecke</t>
  </si>
  <si>
    <t>La_rechtwinklig</t>
  </si>
  <si>
    <t>Li_rechtwinklig</t>
  </si>
  <si>
    <t>Li_eff</t>
  </si>
  <si>
    <t>La_eff</t>
  </si>
  <si>
    <t>Rsi*(Rsa-Pa)/(2*-Rsa)</t>
  </si>
  <si>
    <t>Rta - Rsi/2 - Li_eff</t>
  </si>
  <si>
    <t>Rsi - e/2 - La_eff</t>
  </si>
  <si>
    <t>Roco Line</t>
  </si>
  <si>
    <t>Winkel Pfostenlinie</t>
  </si>
  <si>
    <t>atan(La_eff/(Rsa-Dpa))</t>
  </si>
  <si>
    <t>Distanz Loch innen von Ecke (kurz)</t>
  </si>
  <si>
    <t>Li1</t>
  </si>
  <si>
    <t>Li - b</t>
  </si>
  <si>
    <t>Rsi/2 - Li_eff</t>
  </si>
  <si>
    <t>Zeichnung 3 spurig</t>
  </si>
  <si>
    <t>trivial</t>
  </si>
  <si>
    <t>Phytagoras</t>
  </si>
  <si>
    <t>Steigung pro Umdrehung</t>
  </si>
  <si>
    <t>s</t>
  </si>
  <si>
    <t>Radius inneres Loch korrigiert</t>
  </si>
  <si>
    <t>Radius ausseres Loch korrigiert</t>
  </si>
  <si>
    <t>Rpa_eff</t>
  </si>
  <si>
    <t>Rpi_eff</t>
  </si>
  <si>
    <t>35 gemessen</t>
  </si>
  <si>
    <t>37 gemessen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</si>
</sst>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2" fontId="0" fillId="2" borderId="0" xfId="0" applyNumberFormat="1" applyFill="1"/>
    <xf numFmtId="2" fontId="0" fillId="0" borderId="0" xfId="0" applyNumberFormat="1" applyFill="1"/>
    <xf numFmtId="2" fontId="0" fillId="3" borderId="0" xfId="0" applyNumberFormat="1" applyFill="1"/>
    <xf numFmtId="0" fontId="0" fillId="0" borderId="0" xfId="0" quotePrefix="1"/>
    <xf numFmtId="0" fontId="0" fillId="0" borderId="0" xfId="0" applyFill="1"/>
    <xf numFmtId="2" fontId="0" fillId="0" borderId="0" xfId="0" applyNumberFormat="1" applyFont="1"/>
    <xf numFmtId="0" fontId="4" fillId="0" borderId="0" xfId="0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31750</xdr:rowOff>
    </xdr:from>
    <xdr:to>
      <xdr:col>9</xdr:col>
      <xdr:colOff>1014984</xdr:colOff>
      <xdr:row>65</xdr:row>
      <xdr:rowOff>66802</xdr:rowOff>
    </xdr:to>
    <xdr:pic>
      <xdr:nvPicPr>
        <xdr:cNvPr id="4" name="Image 3" descr="gleiswendel 3 spur_150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775450"/>
          <a:ext cx="8711184" cy="5559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Normal="100" workbookViewId="0">
      <selection activeCell="C28" sqref="C28"/>
    </sheetView>
  </sheetViews>
  <sheetFormatPr baseColWidth="10" defaultRowHeight="15"/>
  <cols>
    <col min="1" max="1" width="31.5703125" customWidth="1"/>
    <col min="2" max="2" width="7.42578125" bestFit="1" customWidth="1"/>
    <col min="3" max="3" width="11.7109375" customWidth="1"/>
    <col min="4" max="4" width="19.42578125" bestFit="1" customWidth="1"/>
    <col min="5" max="5" width="10.5703125" style="2" bestFit="1" customWidth="1"/>
    <col min="6" max="6" width="3.85546875" customWidth="1"/>
    <col min="7" max="7" width="8.28515625" customWidth="1"/>
    <col min="8" max="8" width="3.85546875" customWidth="1"/>
    <col min="9" max="9" width="18.7109375" bestFit="1" customWidth="1"/>
    <col min="10" max="10" width="34.7109375" bestFit="1" customWidth="1"/>
    <col min="11" max="12" width="11.42578125" style="2"/>
  </cols>
  <sheetData>
    <row r="1" spans="1:12" ht="23.25">
      <c r="A1" s="10" t="s">
        <v>0</v>
      </c>
    </row>
    <row r="3" spans="1:12">
      <c r="A3" s="1" t="s">
        <v>1</v>
      </c>
      <c r="C3" s="1" t="s">
        <v>66</v>
      </c>
      <c r="D3" s="1" t="s">
        <v>8</v>
      </c>
      <c r="E3" s="3" t="s">
        <v>11</v>
      </c>
    </row>
    <row r="4" spans="1:12">
      <c r="A4" t="s">
        <v>20</v>
      </c>
      <c r="B4" t="s">
        <v>3</v>
      </c>
      <c r="D4" t="s">
        <v>42</v>
      </c>
      <c r="E4" s="2">
        <f>E11*TAN(RADIANS(E13/2))*2</f>
        <v>738.31552423969333</v>
      </c>
    </row>
    <row r="5" spans="1:12">
      <c r="A5" t="s">
        <v>36</v>
      </c>
      <c r="B5" t="s">
        <v>4</v>
      </c>
      <c r="C5" t="s">
        <v>37</v>
      </c>
      <c r="D5" s="7" t="s">
        <v>65</v>
      </c>
      <c r="E5" s="2">
        <f>TAN(RADIANS(E13/2))*E11*2-E10</f>
        <v>294.11552423969334</v>
      </c>
    </row>
    <row r="6" spans="1:12">
      <c r="A6" t="s">
        <v>19</v>
      </c>
      <c r="B6" t="s">
        <v>5</v>
      </c>
      <c r="D6" t="s">
        <v>29</v>
      </c>
      <c r="E6" s="6">
        <f>E10</f>
        <v>444.2</v>
      </c>
      <c r="G6" t="s">
        <v>38</v>
      </c>
      <c r="L6" s="9"/>
    </row>
    <row r="7" spans="1:12">
      <c r="A7" t="s">
        <v>2</v>
      </c>
      <c r="B7" t="s">
        <v>6</v>
      </c>
      <c r="C7" t="s">
        <v>21</v>
      </c>
      <c r="D7" s="7" t="s">
        <v>64</v>
      </c>
      <c r="E7" s="2">
        <f>E11-E10*COS(RADIANS(E13/2))</f>
        <v>254.71151563895233</v>
      </c>
      <c r="I7" t="s">
        <v>68</v>
      </c>
      <c r="J7" t="s">
        <v>67</v>
      </c>
      <c r="K7" s="2">
        <f>2*(E10-TAN(RADIANS(E13/2))*E11)</f>
        <v>150.08447576030665</v>
      </c>
    </row>
    <row r="9" spans="1:12">
      <c r="A9" t="s">
        <v>32</v>
      </c>
      <c r="B9" t="s">
        <v>33</v>
      </c>
      <c r="C9" t="s">
        <v>35</v>
      </c>
      <c r="D9" s="7" t="s">
        <v>63</v>
      </c>
      <c r="E9" s="2">
        <f>E10*COS(RADIANS(E13/2))</f>
        <v>384.68848436104764</v>
      </c>
    </row>
    <row r="10" spans="1:12">
      <c r="A10" t="s">
        <v>26</v>
      </c>
      <c r="B10" t="s">
        <v>29</v>
      </c>
      <c r="D10" t="s">
        <v>28</v>
      </c>
      <c r="E10" s="6">
        <f>SUM(E28-E27)</f>
        <v>444.2</v>
      </c>
      <c r="G10" t="s">
        <v>87</v>
      </c>
    </row>
    <row r="11" spans="1:12">
      <c r="A11" t="s">
        <v>7</v>
      </c>
      <c r="B11" t="s">
        <v>30</v>
      </c>
      <c r="D11" t="s">
        <v>27</v>
      </c>
      <c r="E11" s="6">
        <f>SUM(E29+E30)</f>
        <v>639.4</v>
      </c>
      <c r="G11" t="s">
        <v>87</v>
      </c>
    </row>
    <row r="12" spans="1:12">
      <c r="A12" t="s">
        <v>34</v>
      </c>
      <c r="B12" t="s">
        <v>31</v>
      </c>
      <c r="C12" t="s">
        <v>3</v>
      </c>
      <c r="D12" t="s">
        <v>42</v>
      </c>
      <c r="E12" s="5">
        <f>E4</f>
        <v>738.31552423969333</v>
      </c>
    </row>
    <row r="13" spans="1:12">
      <c r="A13" t="s">
        <v>9</v>
      </c>
      <c r="B13" t="s">
        <v>10</v>
      </c>
      <c r="E13" s="6">
        <v>60</v>
      </c>
      <c r="G13" t="s">
        <v>38</v>
      </c>
    </row>
    <row r="14" spans="1:12">
      <c r="E14" s="5"/>
    </row>
    <row r="15" spans="1:12">
      <c r="A15" t="s">
        <v>46</v>
      </c>
      <c r="B15" t="s">
        <v>53</v>
      </c>
      <c r="E15" s="4">
        <v>20</v>
      </c>
      <c r="G15" t="s">
        <v>39</v>
      </c>
      <c r="I15" t="s">
        <v>73</v>
      </c>
      <c r="J15" t="s">
        <v>69</v>
      </c>
      <c r="K15" s="9">
        <f>E10*E10*COS(RADIANS(E13/2))/(2*E11)</f>
        <v>133.62419827430199</v>
      </c>
    </row>
    <row r="16" spans="1:12">
      <c r="A16" t="s">
        <v>55</v>
      </c>
      <c r="B16" t="s">
        <v>48</v>
      </c>
      <c r="C16" t="s">
        <v>58</v>
      </c>
      <c r="E16" s="5">
        <f>(E9+E15)/COS(ATAN(K21/(E11-E20)))</f>
        <v>428.40759790184399</v>
      </c>
      <c r="F16" s="8"/>
      <c r="G16" s="8"/>
      <c r="I16" t="s">
        <v>74</v>
      </c>
      <c r="J16" t="s">
        <v>70</v>
      </c>
      <c r="K16" s="2">
        <f>(E10*E10*COS(RADIANS(E13/2))+E15*E10)/(2*E11)</f>
        <v>140.57133621612243</v>
      </c>
    </row>
    <row r="17" spans="1:11">
      <c r="A17" t="s">
        <v>91</v>
      </c>
      <c r="B17" t="s">
        <v>94</v>
      </c>
      <c r="C17" t="s">
        <v>88</v>
      </c>
      <c r="E17" s="2">
        <f>SQRT(POWER(E16,2)-POWER(E31/6,2))</f>
        <v>428.17330077386146</v>
      </c>
      <c r="F17" s="8"/>
      <c r="G17" s="8"/>
    </row>
    <row r="18" spans="1:11">
      <c r="A18" t="s">
        <v>71</v>
      </c>
      <c r="B18" t="s">
        <v>47</v>
      </c>
      <c r="D18" t="s">
        <v>77</v>
      </c>
      <c r="E18" s="5">
        <f>E12-E10/2-K16</f>
        <v>375.6441880235709</v>
      </c>
      <c r="H18" s="2"/>
    </row>
    <row r="19" spans="1:11">
      <c r="A19" t="s">
        <v>82</v>
      </c>
      <c r="B19" t="s">
        <v>83</v>
      </c>
      <c r="C19" t="s">
        <v>84</v>
      </c>
      <c r="D19" t="s">
        <v>85</v>
      </c>
      <c r="E19" s="5">
        <f>E10/2-K16</f>
        <v>81.528663783877562</v>
      </c>
      <c r="H19" s="2"/>
    </row>
    <row r="20" spans="1:11">
      <c r="A20" t="s">
        <v>59</v>
      </c>
      <c r="B20" t="s">
        <v>54</v>
      </c>
      <c r="E20" s="4">
        <v>20</v>
      </c>
      <c r="G20" t="s">
        <v>39</v>
      </c>
      <c r="H20" s="2"/>
      <c r="I20" t="s">
        <v>72</v>
      </c>
      <c r="J20" t="s">
        <v>43</v>
      </c>
      <c r="K20" s="2">
        <f>E6/2</f>
        <v>222.1</v>
      </c>
    </row>
    <row r="21" spans="1:11">
      <c r="A21" t="s">
        <v>56</v>
      </c>
      <c r="B21" t="s">
        <v>49</v>
      </c>
      <c r="C21" t="s">
        <v>57</v>
      </c>
      <c r="E21" s="5">
        <f>(E11-E20)/COS(ATAN(K21/(E11-E20)))</f>
        <v>655.70352603278411</v>
      </c>
      <c r="F21" s="8"/>
      <c r="G21" s="8"/>
      <c r="H21" s="2"/>
      <c r="I21" t="s">
        <v>75</v>
      </c>
      <c r="J21" t="s">
        <v>76</v>
      </c>
      <c r="K21" s="2">
        <f>E10*(E11-E20)/(2*E11)</f>
        <v>215.15286205817952</v>
      </c>
    </row>
    <row r="22" spans="1:11">
      <c r="A22" t="s">
        <v>92</v>
      </c>
      <c r="B22" t="s">
        <v>93</v>
      </c>
      <c r="C22" t="s">
        <v>88</v>
      </c>
      <c r="E22" s="5">
        <f>SQRT(POWER(E21,2)-POWER(E31/6,2))</f>
        <v>655.55047067894134</v>
      </c>
      <c r="F22" s="8"/>
      <c r="G22" s="8"/>
      <c r="H22" s="2"/>
    </row>
    <row r="23" spans="1:11">
      <c r="A23" t="s">
        <v>60</v>
      </c>
      <c r="B23" t="s">
        <v>50</v>
      </c>
      <c r="D23" t="s">
        <v>78</v>
      </c>
      <c r="E23" s="5">
        <f>E10-K7/2-K21</f>
        <v>154.00490006166714</v>
      </c>
      <c r="F23" s="8"/>
      <c r="G23" s="8"/>
    </row>
    <row r="24" spans="1:11">
      <c r="A24" t="s">
        <v>52</v>
      </c>
      <c r="B24" t="s">
        <v>45</v>
      </c>
      <c r="C24" t="s">
        <v>62</v>
      </c>
      <c r="E24" s="5">
        <f>E10-E16</f>
        <v>15.792402098156003</v>
      </c>
      <c r="I24" t="s">
        <v>80</v>
      </c>
      <c r="J24" t="s">
        <v>81</v>
      </c>
      <c r="K24">
        <f>DEGREES(ATAN(K21/(E11-E20)))</f>
        <v>19.155023262384915</v>
      </c>
    </row>
    <row r="25" spans="1:11">
      <c r="A25" t="s">
        <v>51</v>
      </c>
      <c r="B25" t="s">
        <v>44</v>
      </c>
      <c r="C25" t="s">
        <v>61</v>
      </c>
      <c r="E25" s="5">
        <f>E21-E11</f>
        <v>16.303526032784134</v>
      </c>
    </row>
    <row r="27" spans="1:11">
      <c r="A27" t="s">
        <v>12</v>
      </c>
      <c r="B27" t="s">
        <v>22</v>
      </c>
      <c r="C27" t="s">
        <v>96</v>
      </c>
      <c r="E27" s="4">
        <v>37</v>
      </c>
      <c r="G27" t="s">
        <v>39</v>
      </c>
      <c r="I27" t="s">
        <v>79</v>
      </c>
      <c r="J27" t="s">
        <v>16</v>
      </c>
      <c r="K27">
        <v>481.2</v>
      </c>
    </row>
    <row r="28" spans="1:11">
      <c r="A28" t="s">
        <v>14</v>
      </c>
      <c r="B28" t="s">
        <v>24</v>
      </c>
      <c r="E28" s="4">
        <f>K27</f>
        <v>481.2</v>
      </c>
      <c r="G28" t="s">
        <v>39</v>
      </c>
      <c r="I28" t="s">
        <v>79</v>
      </c>
      <c r="J28" t="s">
        <v>17</v>
      </c>
      <c r="K28">
        <v>542.79999999999995</v>
      </c>
    </row>
    <row r="29" spans="1:11">
      <c r="A29" t="s">
        <v>13</v>
      </c>
      <c r="B29" t="s">
        <v>25</v>
      </c>
      <c r="E29" s="4">
        <f>K29</f>
        <v>604.4</v>
      </c>
      <c r="G29" t="s">
        <v>39</v>
      </c>
      <c r="I29" t="s">
        <v>79</v>
      </c>
      <c r="J29" t="s">
        <v>18</v>
      </c>
      <c r="K29">
        <v>604.4</v>
      </c>
    </row>
    <row r="30" spans="1:11">
      <c r="A30" t="s">
        <v>15</v>
      </c>
      <c r="B30" t="s">
        <v>23</v>
      </c>
      <c r="C30" t="s">
        <v>95</v>
      </c>
      <c r="E30" s="4">
        <v>35</v>
      </c>
      <c r="G30" t="s">
        <v>39</v>
      </c>
      <c r="I30" t="s">
        <v>79</v>
      </c>
      <c r="J30" t="s">
        <v>40</v>
      </c>
      <c r="K30">
        <f>K28-K27</f>
        <v>61.599999999999966</v>
      </c>
    </row>
    <row r="31" spans="1:11">
      <c r="A31" t="s">
        <v>89</v>
      </c>
      <c r="B31" t="s">
        <v>90</v>
      </c>
      <c r="E31" s="4">
        <v>85</v>
      </c>
      <c r="G31" t="s">
        <v>39</v>
      </c>
      <c r="I31" t="s">
        <v>79</v>
      </c>
      <c r="J31" t="s">
        <v>41</v>
      </c>
      <c r="K31">
        <f>K30*2</f>
        <v>123.19999999999993</v>
      </c>
    </row>
    <row r="34" spans="1:12" s="10" customFormat="1" ht="23.25">
      <c r="A34" s="10" t="s">
        <v>86</v>
      </c>
      <c r="E34" s="11"/>
      <c r="K34" s="11"/>
      <c r="L34" s="11"/>
    </row>
  </sheetData>
  <pageMargins left="0.7" right="0.7" top="0.75" bottom="0.75" header="0.3" footer="0.3"/>
  <pageSetup paperSize="9" scale="82" orientation="landscape" r:id="rId1"/>
  <rowBreaks count="1" manualBreakCount="1">
    <brk id="3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Université de Neuchâtel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Rufer</dc:creator>
  <cp:lastModifiedBy>Mathias Rufer</cp:lastModifiedBy>
  <cp:lastPrinted>2012-01-07T17:22:23Z</cp:lastPrinted>
  <dcterms:created xsi:type="dcterms:W3CDTF">2011-12-12T21:00:46Z</dcterms:created>
  <dcterms:modified xsi:type="dcterms:W3CDTF">2012-03-04T13:42:04Z</dcterms:modified>
</cp:coreProperties>
</file>